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20730" windowHeight="11760"/>
  </bookViews>
  <sheets>
    <sheet name="Weight &amp; Ballance" sheetId="1" r:id="rId1"/>
    <sheet name="Performance Charts" sheetId="2" r:id="rId2"/>
    <sheet name="Data" sheetId="3" r:id="rId3"/>
  </sheets>
  <definedNames>
    <definedName name="Aircraft">Data!$A$3:$A$4</definedName>
    <definedName name="AircraftData">Data!$A$3:$C$4</definedName>
    <definedName name="Fuel">Data!$A$7:$A$8</definedName>
    <definedName name="FuelData">Data!$A$7:$B$8</definedName>
    <definedName name="_xlnm.Print_Area" localSheetId="0">'Weight &amp; Ballance'!$A$1:$M$55</definedName>
  </definedNames>
  <calcPr calcId="124519"/>
</workbook>
</file>

<file path=xl/calcChain.xml><?xml version="1.0" encoding="utf-8"?>
<calcChain xmlns="http://schemas.openxmlformats.org/spreadsheetml/2006/main">
  <c r="H10" i="1"/>
  <c r="C10"/>
  <c r="M51"/>
  <c r="H13" s="1"/>
  <c r="L51"/>
  <c r="H12" s="1"/>
  <c r="M45"/>
  <c r="C13" s="1"/>
  <c r="L45"/>
  <c r="C12" s="1"/>
  <c r="L7"/>
  <c r="B7" i="3" l="1"/>
  <c r="B8"/>
  <c r="D17" i="1"/>
  <c r="C17"/>
  <c r="E53"/>
  <c r="E54" s="1"/>
  <c r="E36"/>
  <c r="E37" s="1"/>
  <c r="E21"/>
  <c r="E20"/>
  <c r="E19"/>
  <c r="C18"/>
  <c r="H5"/>
  <c r="H7" s="1"/>
  <c r="C5"/>
  <c r="C7" s="1"/>
  <c r="C23" l="1"/>
  <c r="C26" s="1"/>
  <c r="E17"/>
  <c r="E18"/>
  <c r="L5"/>
  <c r="C24" s="1"/>
  <c r="E24" s="1"/>
  <c r="E23" l="1"/>
  <c r="C25"/>
  <c r="J6"/>
  <c r="L6" s="1"/>
  <c r="L9" l="1"/>
  <c r="L10" s="1"/>
  <c r="J9"/>
  <c r="L11" l="1"/>
  <c r="J10"/>
  <c r="J11" s="1"/>
  <c r="E26"/>
  <c r="D26" s="1"/>
  <c r="E25"/>
  <c r="D25" s="1"/>
  <c r="D23" l="1"/>
</calcChain>
</file>

<file path=xl/sharedStrings.xml><?xml version="1.0" encoding="utf-8"?>
<sst xmlns="http://schemas.openxmlformats.org/spreadsheetml/2006/main" count="138" uniqueCount="115">
  <si>
    <t>Elevation</t>
  </si>
  <si>
    <t>QNH</t>
  </si>
  <si>
    <t>Pressure alt.</t>
  </si>
  <si>
    <t>TAS (kts)</t>
  </si>
  <si>
    <t>RPM</t>
  </si>
  <si>
    <t>W/V</t>
  </si>
  <si>
    <t>Expect RWY</t>
  </si>
  <si>
    <t>XWC max. 17 kts</t>
  </si>
  <si>
    <t>HWC</t>
  </si>
  <si>
    <t>Departure</t>
  </si>
  <si>
    <t>ALT.</t>
  </si>
  <si>
    <t>Destination</t>
  </si>
  <si>
    <t>Time</t>
  </si>
  <si>
    <t>Gallon</t>
  </si>
  <si>
    <t>Taxi</t>
  </si>
  <si>
    <t>Climb</t>
  </si>
  <si>
    <t>Trip</t>
  </si>
  <si>
    <t>10% cont. Fuel</t>
  </si>
  <si>
    <t>Final reserve</t>
  </si>
  <si>
    <t>Alternate 1</t>
  </si>
  <si>
    <t>Min Block</t>
  </si>
  <si>
    <t>Extra</t>
  </si>
  <si>
    <t>Endurance</t>
  </si>
  <si>
    <t>MASS</t>
  </si>
  <si>
    <t>ARM</t>
  </si>
  <si>
    <t>BALANCE</t>
  </si>
  <si>
    <t>Empty mass</t>
  </si>
  <si>
    <t>Front seats</t>
  </si>
  <si>
    <t>Rear seats</t>
  </si>
  <si>
    <t>Fuel consumption</t>
  </si>
  <si>
    <t>Zero fuel mass</t>
  </si>
  <si>
    <t>Take - off distance from AOM (to 50 ft.)</t>
  </si>
  <si>
    <t>Landing distance from AOM (to 50 ft)</t>
  </si>
  <si>
    <t>Dry grass (max 20 cm)</t>
  </si>
  <si>
    <t>Runway upslope</t>
  </si>
  <si>
    <t>Water or slush (max. 2,5 cm)</t>
  </si>
  <si>
    <t>Wet snow (max. 5 cm)</t>
  </si>
  <si>
    <t>Dry snow (max. 10 cm)</t>
  </si>
  <si>
    <t>CORRECTED TAKE - OFF DISTANCE</t>
  </si>
  <si>
    <t>TAKE - OFF DISTANCE AVALIBLE (TODA)</t>
  </si>
  <si>
    <t>Wet grass (max 20 cm)</t>
  </si>
  <si>
    <t>Dry solid snow or dry ice</t>
  </si>
  <si>
    <t>Wet solid snow or wet ice</t>
  </si>
  <si>
    <t xml:space="preserve">Soft or long grass                                       </t>
  </si>
  <si>
    <t xml:space="preserve">Solid with short grass (5-10 cm)            </t>
  </si>
  <si>
    <t>5%    pr. 1%</t>
  </si>
  <si>
    <t xml:space="preserve">20%  pr. cm </t>
  </si>
  <si>
    <t xml:space="preserve">10%  pr. cm </t>
  </si>
  <si>
    <t xml:space="preserve">5%    pr. cm </t>
  </si>
  <si>
    <t>Runway downslope</t>
  </si>
  <si>
    <t>MAX WXC</t>
  </si>
  <si>
    <t>FACTOR</t>
  </si>
  <si>
    <t>≥ .40</t>
  </si>
  <si>
    <t>.36 - .39</t>
  </si>
  <si>
    <t>.30 - .35</t>
  </si>
  <si>
    <t>.26 - .29</t>
  </si>
  <si>
    <t>≤ .25</t>
  </si>
  <si>
    <t>17 kts.</t>
  </si>
  <si>
    <t>14 kts.</t>
  </si>
  <si>
    <t>11 kts.</t>
  </si>
  <si>
    <t>8 kts.</t>
  </si>
  <si>
    <t>5 kts.</t>
  </si>
  <si>
    <t>BRAKING ACTION</t>
  </si>
  <si>
    <t>PERFORMANCE TABEL</t>
  </si>
  <si>
    <t>LANDING</t>
  </si>
  <si>
    <t>FUEL</t>
  </si>
  <si>
    <t>MASS AND BALLANCE</t>
  </si>
  <si>
    <t>TAKE - OFF</t>
  </si>
  <si>
    <t>10 USG/H</t>
  </si>
  <si>
    <t>CORRECTED LANDING DISTANCE</t>
  </si>
  <si>
    <t>LANDING DISTANCE REQUIRED  x 1,43</t>
  </si>
  <si>
    <t>LANDING DISTANCE AVAILABLE (LDA)</t>
  </si>
  <si>
    <t>TAKE - OFF DISTANCE REQUIRED (TORA) x 1,25</t>
  </si>
  <si>
    <t>1 USG</t>
  </si>
  <si>
    <t>=</t>
  </si>
  <si>
    <t>1 KG</t>
  </si>
  <si>
    <t>6 LBS</t>
  </si>
  <si>
    <t>2,2 LBS</t>
  </si>
  <si>
    <t>1 M</t>
  </si>
  <si>
    <t>3,28 FT</t>
  </si>
  <si>
    <t>Degrees:</t>
  </si>
  <si>
    <t>10°</t>
  </si>
  <si>
    <t>20°</t>
  </si>
  <si>
    <t>30°</t>
  </si>
  <si>
    <t>40°</t>
  </si>
  <si>
    <t>50°</t>
  </si>
  <si>
    <t>60°</t>
  </si>
  <si>
    <t>70°</t>
  </si>
  <si>
    <t>80°</t>
  </si>
  <si>
    <t>90°</t>
  </si>
  <si>
    <t>SIN ≈</t>
  </si>
  <si>
    <t>COS ≈</t>
  </si>
  <si>
    <t>Head Wind</t>
  </si>
  <si>
    <t>XWIND</t>
  </si>
  <si>
    <t>Wind:</t>
  </si>
  <si>
    <t>Velocity:</t>
  </si>
  <si>
    <t>XWIND:</t>
  </si>
  <si>
    <t>Head Wind:</t>
  </si>
  <si>
    <t>Departure:</t>
  </si>
  <si>
    <t>Destination:</t>
  </si>
  <si>
    <t>Arm:</t>
  </si>
  <si>
    <t>Mass:</t>
  </si>
  <si>
    <t>Aircraft:</t>
  </si>
  <si>
    <t>Fuel:</t>
  </si>
  <si>
    <t>Fuel USG</t>
  </si>
  <si>
    <t>Momen - retraction of gear</t>
  </si>
  <si>
    <t>Aft compart max. 200 Lbs (+5)</t>
  </si>
  <si>
    <t>TOM (MTOM 2500 Lbs)</t>
  </si>
  <si>
    <t>8,6 USG/H</t>
  </si>
  <si>
    <t>OY-BKG</t>
  </si>
  <si>
    <t>OY-BDI</t>
  </si>
  <si>
    <t>Landing mass MLM 2500 Lbs</t>
  </si>
  <si>
    <t xml:space="preserve">                                                  </t>
  </si>
  <si>
    <t>Temperature</t>
  </si>
  <si>
    <t>Dencity alt.</t>
  </si>
</sst>
</file>

<file path=xl/styles.xml><?xml version="1.0" encoding="utf-8"?>
<styleSheet xmlns="http://schemas.openxmlformats.org/spreadsheetml/2006/main">
  <numFmts count="1">
    <numFmt numFmtId="164" formatCode="0.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2" borderId="4" xfId="0" applyFill="1" applyBorder="1"/>
    <xf numFmtId="0" fontId="0" fillId="2" borderId="8" xfId="0" applyFill="1" applyBorder="1"/>
    <xf numFmtId="9" fontId="0" fillId="0" borderId="27" xfId="0" applyNumberFormat="1" applyBorder="1"/>
    <xf numFmtId="9" fontId="0" fillId="0" borderId="28" xfId="0" applyNumberFormat="1" applyBorder="1"/>
    <xf numFmtId="9" fontId="0" fillId="0" borderId="27" xfId="0" applyNumberFormat="1" applyBorder="1" applyAlignment="1">
      <alignment horizontal="left"/>
    </xf>
    <xf numFmtId="9" fontId="0" fillId="0" borderId="26" xfId="0" applyNumberFormat="1" applyBorder="1" applyAlignment="1">
      <alignment horizontal="left"/>
    </xf>
    <xf numFmtId="0" fontId="0" fillId="0" borderId="39" xfId="0" applyBorder="1" applyAlignment="1">
      <alignment horizontal="center"/>
    </xf>
    <xf numFmtId="9" fontId="0" fillId="0" borderId="42" xfId="0" applyNumberFormat="1" applyBorder="1" applyAlignment="1">
      <alignment horizontal="left"/>
    </xf>
    <xf numFmtId="9" fontId="0" fillId="0" borderId="45" xfId="0" applyNumberFormat="1" applyBorder="1" applyAlignment="1">
      <alignment horizontal="left"/>
    </xf>
    <xf numFmtId="0" fontId="0" fillId="0" borderId="47" xfId="0" applyBorder="1" applyAlignment="1">
      <alignment horizontal="center"/>
    </xf>
    <xf numFmtId="9" fontId="0" fillId="0" borderId="48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9" fontId="0" fillId="0" borderId="27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28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164" fontId="0" fillId="4" borderId="2" xfId="0" applyNumberFormat="1" applyFill="1" applyBorder="1" applyAlignment="1">
      <alignment horizontal="center"/>
    </xf>
    <xf numFmtId="164" fontId="0" fillId="4" borderId="5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0" borderId="20" xfId="0" applyBorder="1" applyAlignment="1"/>
    <xf numFmtId="1" fontId="0" fillId="4" borderId="9" xfId="0" applyNumberFormat="1" applyFill="1" applyBorder="1" applyAlignment="1">
      <alignment horizontal="center"/>
    </xf>
    <xf numFmtId="1" fontId="0" fillId="4" borderId="11" xfId="0" applyNumberFormat="1" applyFill="1" applyBorder="1" applyAlignment="1">
      <alignment horizontal="center"/>
    </xf>
    <xf numFmtId="1" fontId="0" fillId="4" borderId="7" xfId="0" applyNumberFormat="1" applyFill="1" applyBorder="1" applyAlignment="1">
      <alignment horizontal="center"/>
    </xf>
    <xf numFmtId="164" fontId="0" fillId="3" borderId="17" xfId="0" applyNumberFormat="1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4" borderId="10" xfId="0" applyNumberForma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2" fontId="0" fillId="4" borderId="11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" fontId="0" fillId="4" borderId="13" xfId="0" applyNumberForma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1" fontId="0" fillId="4" borderId="34" xfId="0" applyNumberFormat="1" applyFill="1" applyBorder="1" applyAlignment="1">
      <alignment horizontal="center"/>
    </xf>
    <xf numFmtId="1" fontId="0" fillId="4" borderId="35" xfId="0" applyNumberFormat="1" applyFill="1" applyBorder="1" applyAlignment="1">
      <alignment horizontal="center"/>
    </xf>
    <xf numFmtId="1" fontId="0" fillId="4" borderId="36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0" fillId="4" borderId="45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64" fontId="0" fillId="4" borderId="9" xfId="0" applyNumberForma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horizontal="center"/>
    </xf>
    <xf numFmtId="164" fontId="2" fillId="4" borderId="8" xfId="0" applyNumberFormat="1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35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164" fontId="0" fillId="5" borderId="15" xfId="0" applyNumberForma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" xfId="0" applyNumberForma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Fill="1" applyBorder="1" applyAlignment="1">
      <alignment horizontal="center"/>
    </xf>
    <xf numFmtId="0" fontId="0" fillId="0" borderId="0" xfId="0" applyAlignment="1"/>
    <xf numFmtId="0" fontId="0" fillId="3" borderId="17" xfId="0" applyFill="1" applyBorder="1" applyAlignment="1">
      <alignment horizontal="center"/>
    </xf>
    <xf numFmtId="2" fontId="2" fillId="4" borderId="1" xfId="0" applyNumberFormat="1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7" xfId="0" applyFont="1" applyFill="1" applyBorder="1" applyAlignment="1">
      <alignment horizontal="center"/>
    </xf>
    <xf numFmtId="164" fontId="0" fillId="3" borderId="3" xfId="0" applyNumberFormat="1" applyFill="1" applyBorder="1" applyAlignment="1">
      <alignment horizontal="center"/>
    </xf>
    <xf numFmtId="164" fontId="0" fillId="4" borderId="3" xfId="0" applyNumberFormat="1" applyFill="1" applyBorder="1" applyAlignment="1">
      <alignment horizontal="center"/>
    </xf>
    <xf numFmtId="1" fontId="0" fillId="4" borderId="15" xfId="0" applyNumberFormat="1" applyFill="1" applyBorder="1" applyAlignment="1">
      <alignment horizontal="center"/>
    </xf>
    <xf numFmtId="0" fontId="0" fillId="0" borderId="0" xfId="0" applyFill="1" applyBorder="1" applyAlignment="1"/>
    <xf numFmtId="0" fontId="0" fillId="5" borderId="34" xfId="0" applyFill="1" applyBorder="1" applyAlignment="1">
      <alignment horizontal="center"/>
    </xf>
    <xf numFmtId="0" fontId="1" fillId="0" borderId="44" xfId="0" applyFont="1" applyFill="1" applyBorder="1" applyAlignment="1"/>
    <xf numFmtId="0" fontId="0" fillId="0" borderId="32" xfId="0" applyBorder="1"/>
    <xf numFmtId="0" fontId="3" fillId="0" borderId="0" xfId="0" applyFont="1"/>
    <xf numFmtId="0" fontId="1" fillId="4" borderId="20" xfId="0" applyFont="1" applyFill="1" applyBorder="1" applyAlignment="1">
      <alignment horizontal="center"/>
    </xf>
    <xf numFmtId="0" fontId="1" fillId="4" borderId="27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18" xfId="0" applyBorder="1" applyAlignment="1">
      <alignment horizontal="left"/>
    </xf>
    <xf numFmtId="0" fontId="1" fillId="0" borderId="44" xfId="0" applyFont="1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2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9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4" borderId="22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9" fontId="0" fillId="0" borderId="39" xfId="0" applyNumberFormat="1" applyBorder="1" applyAlignment="1">
      <alignment horizontal="left"/>
    </xf>
  </cellXfs>
  <cellStyles count="1">
    <cellStyle name="Normal" xfId="0" builtinId="0"/>
  </cellStyles>
  <dxfs count="1">
    <dxf>
      <font>
        <color auto="1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7710</xdr:colOff>
      <xdr:row>15</xdr:row>
      <xdr:rowOff>17441</xdr:rowOff>
    </xdr:from>
    <xdr:to>
      <xdr:col>12</xdr:col>
      <xdr:colOff>747474</xdr:colOff>
      <xdr:row>30</xdr:row>
      <xdr:rowOff>190499</xdr:rowOff>
    </xdr:to>
    <xdr:pic>
      <xdr:nvPicPr>
        <xdr:cNvPr id="2" name="Billede 1" descr="Envelop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9710" y="2998766"/>
          <a:ext cx="4854564" cy="3116283"/>
        </a:xfrm>
        <a:prstGeom prst="rect">
          <a:avLst/>
        </a:prstGeom>
        <a:ln w="28575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41741</xdr:colOff>
      <xdr:row>0</xdr:row>
      <xdr:rowOff>38101</xdr:rowOff>
    </xdr:from>
    <xdr:to>
      <xdr:col>6</xdr:col>
      <xdr:colOff>600074</xdr:colOff>
      <xdr:row>34</xdr:row>
      <xdr:rowOff>180975</xdr:rowOff>
    </xdr:to>
    <xdr:pic>
      <xdr:nvPicPr>
        <xdr:cNvPr id="2" name="Billede 1" descr="CCF24022011_00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741" y="38101"/>
          <a:ext cx="4215933" cy="661987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35890</xdr:colOff>
      <xdr:row>36</xdr:row>
      <xdr:rowOff>0</xdr:rowOff>
    </xdr:from>
    <xdr:to>
      <xdr:col>7</xdr:col>
      <xdr:colOff>0</xdr:colOff>
      <xdr:row>69</xdr:row>
      <xdr:rowOff>171449</xdr:rowOff>
    </xdr:to>
    <xdr:pic>
      <xdr:nvPicPr>
        <xdr:cNvPr id="3" name="Billede 2" descr="CCF24022011_00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890" y="6858000"/>
          <a:ext cx="4231310" cy="64579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S62"/>
  <sheetViews>
    <sheetView tabSelected="1" workbookViewId="0">
      <selection activeCell="H58" sqref="H58"/>
    </sheetView>
  </sheetViews>
  <sheetFormatPr defaultRowHeight="15"/>
  <cols>
    <col min="1" max="1" width="11.7109375" customWidth="1"/>
    <col min="2" max="2" width="14.85546875" customWidth="1"/>
    <col min="3" max="3" width="10.42578125" customWidth="1"/>
    <col min="4" max="4" width="12.28515625" customWidth="1"/>
    <col min="5" max="5" width="10.140625" bestFit="1" customWidth="1"/>
    <col min="8" max="8" width="11.28515625" bestFit="1" customWidth="1"/>
    <col min="11" max="11" width="13.85546875" bestFit="1" customWidth="1"/>
    <col min="13" max="13" width="11.42578125" customWidth="1"/>
    <col min="14" max="14" width="9.140625" customWidth="1"/>
  </cols>
  <sheetData>
    <row r="1" spans="1:19" ht="15.75" thickBot="1">
      <c r="A1" s="119" t="s">
        <v>63</v>
      </c>
      <c r="B1" s="119"/>
      <c r="C1" s="119"/>
      <c r="D1" s="119"/>
      <c r="E1" s="119"/>
      <c r="F1" s="119"/>
      <c r="G1" s="119"/>
      <c r="H1" s="119"/>
      <c r="J1" s="119" t="s">
        <v>65</v>
      </c>
      <c r="K1" s="119"/>
      <c r="L1" s="119"/>
    </row>
    <row r="2" spans="1:19" ht="15.75" thickTop="1">
      <c r="A2" s="121"/>
      <c r="B2" s="122"/>
      <c r="C2" s="26" t="s">
        <v>9</v>
      </c>
      <c r="D2" s="26" t="s">
        <v>10</v>
      </c>
      <c r="E2" s="26" t="s">
        <v>10</v>
      </c>
      <c r="F2" s="26" t="s">
        <v>10</v>
      </c>
      <c r="G2" s="26" t="s">
        <v>10</v>
      </c>
      <c r="H2" s="27" t="s">
        <v>11</v>
      </c>
      <c r="J2" s="43" t="s">
        <v>12</v>
      </c>
      <c r="K2" s="26"/>
      <c r="L2" s="27" t="s">
        <v>13</v>
      </c>
    </row>
    <row r="3" spans="1:19">
      <c r="A3" s="111" t="s">
        <v>0</v>
      </c>
      <c r="B3" s="112"/>
      <c r="C3" s="25">
        <v>146</v>
      </c>
      <c r="D3" s="2"/>
      <c r="E3" s="2"/>
      <c r="F3" s="2"/>
      <c r="G3" s="2"/>
      <c r="H3" s="57"/>
      <c r="J3" s="7"/>
      <c r="K3" s="1" t="s">
        <v>14</v>
      </c>
      <c r="L3" s="38">
        <v>1</v>
      </c>
    </row>
    <row r="4" spans="1:19" ht="15.75" thickBot="1">
      <c r="A4" s="111" t="s">
        <v>1</v>
      </c>
      <c r="B4" s="112"/>
      <c r="C4" s="25">
        <v>1015</v>
      </c>
      <c r="D4" s="1"/>
      <c r="E4" s="1"/>
      <c r="F4" s="1"/>
      <c r="G4" s="1"/>
      <c r="H4" s="57"/>
      <c r="J4" s="22">
        <v>0</v>
      </c>
      <c r="K4" s="1" t="s">
        <v>15</v>
      </c>
      <c r="L4" s="38">
        <v>0</v>
      </c>
    </row>
    <row r="5" spans="1:19" ht="15.75" thickTop="1">
      <c r="A5" s="111" t="s">
        <v>2</v>
      </c>
      <c r="B5" s="112"/>
      <c r="C5" s="55">
        <f>(1013-C4)*30+C3</f>
        <v>86</v>
      </c>
      <c r="D5" s="1"/>
      <c r="E5" s="1"/>
      <c r="F5" s="1"/>
      <c r="G5" s="1"/>
      <c r="H5" s="58">
        <f>(1013-H4)*30+H3</f>
        <v>30390</v>
      </c>
      <c r="J5" s="24">
        <v>120</v>
      </c>
      <c r="K5" s="1" t="s">
        <v>16</v>
      </c>
      <c r="L5" s="38">
        <f>SUM(10/60)*J5</f>
        <v>20</v>
      </c>
      <c r="M5" s="75" t="s">
        <v>68</v>
      </c>
    </row>
    <row r="6" spans="1:19">
      <c r="A6" s="111" t="s">
        <v>113</v>
      </c>
      <c r="B6" s="112"/>
      <c r="C6" s="25">
        <v>22</v>
      </c>
      <c r="D6" s="1"/>
      <c r="E6" s="1"/>
      <c r="F6" s="1"/>
      <c r="G6" s="1"/>
      <c r="H6" s="57"/>
      <c r="J6" s="22">
        <f>J5*10%</f>
        <v>12</v>
      </c>
      <c r="K6" s="1" t="s">
        <v>17</v>
      </c>
      <c r="L6" s="38">
        <f>SUM(10/60)*J6</f>
        <v>2</v>
      </c>
      <c r="M6" s="45" t="s">
        <v>68</v>
      </c>
    </row>
    <row r="7" spans="1:19" ht="15.75" thickBot="1">
      <c r="A7" s="111" t="s">
        <v>114</v>
      </c>
      <c r="B7" s="112"/>
      <c r="C7" s="55">
        <f>C5+(C6-15)*120</f>
        <v>926</v>
      </c>
      <c r="D7" s="1"/>
      <c r="E7" s="1"/>
      <c r="F7" s="1"/>
      <c r="G7" s="1"/>
      <c r="H7" s="58">
        <f>H5+(H6-15)*120</f>
        <v>28590</v>
      </c>
      <c r="J7" s="22">
        <v>45</v>
      </c>
      <c r="K7" s="1" t="s">
        <v>18</v>
      </c>
      <c r="L7" s="38">
        <f>SUM(8.6/60)*J7</f>
        <v>6.45</v>
      </c>
      <c r="M7" s="46" t="s">
        <v>108</v>
      </c>
    </row>
    <row r="8" spans="1:19" ht="16.5" thickTop="1" thickBot="1">
      <c r="A8" s="111" t="s">
        <v>3</v>
      </c>
      <c r="B8" s="112"/>
      <c r="C8" s="56"/>
      <c r="D8" s="1"/>
      <c r="E8" s="1"/>
      <c r="F8" s="1"/>
      <c r="G8" s="1"/>
      <c r="H8" s="59"/>
      <c r="J8" s="79"/>
      <c r="K8" s="3" t="s">
        <v>19</v>
      </c>
      <c r="L8" s="80"/>
    </row>
    <row r="9" spans="1:19" ht="15.75" thickTop="1">
      <c r="A9" s="111" t="s">
        <v>4</v>
      </c>
      <c r="B9" s="112"/>
      <c r="C9" s="56"/>
      <c r="D9" s="1"/>
      <c r="E9" s="1"/>
      <c r="F9" s="1"/>
      <c r="G9" s="1"/>
      <c r="H9" s="59"/>
      <c r="J9" s="23">
        <f>SUM(J4:J8)</f>
        <v>177</v>
      </c>
      <c r="K9" s="4" t="s">
        <v>20</v>
      </c>
      <c r="L9" s="41">
        <f>SUM(L3:L8)</f>
        <v>29.45</v>
      </c>
    </row>
    <row r="10" spans="1:19">
      <c r="A10" s="111" t="s">
        <v>5</v>
      </c>
      <c r="B10" s="112"/>
      <c r="C10" s="83" t="str">
        <f>L43&amp;"/"&amp;M43</f>
        <v>110/14</v>
      </c>
      <c r="D10" s="1"/>
      <c r="E10" s="1"/>
      <c r="F10" s="1"/>
      <c r="G10" s="1"/>
      <c r="H10" s="58" t="str">
        <f>L49&amp;"/"&amp;M49</f>
        <v>/</v>
      </c>
      <c r="J10" s="39">
        <f>(L10/10)*60</f>
        <v>27.300000000000004</v>
      </c>
      <c r="K10" s="1" t="s">
        <v>21</v>
      </c>
      <c r="L10" s="38">
        <f>SUM(B18-L9)</f>
        <v>4.5500000000000007</v>
      </c>
    </row>
    <row r="11" spans="1:19" ht="15.75" thickBot="1">
      <c r="A11" s="111" t="s">
        <v>6</v>
      </c>
      <c r="B11" s="112"/>
      <c r="C11" s="25">
        <v>11</v>
      </c>
      <c r="D11" s="2"/>
      <c r="E11" s="2"/>
      <c r="F11" s="2"/>
      <c r="G11" s="2"/>
      <c r="H11" s="57"/>
      <c r="J11" s="40">
        <f>SUM(J9:J10)</f>
        <v>204.3</v>
      </c>
      <c r="K11" s="5" t="s">
        <v>22</v>
      </c>
      <c r="L11" s="42">
        <f>L9+L10</f>
        <v>34</v>
      </c>
    </row>
    <row r="12" spans="1:19" ht="15.75" thickTop="1">
      <c r="A12" s="111" t="s">
        <v>7</v>
      </c>
      <c r="B12" s="112"/>
      <c r="C12" s="28">
        <f>L45</f>
        <v>0</v>
      </c>
      <c r="D12" s="2"/>
      <c r="E12" s="2"/>
      <c r="F12" s="2"/>
      <c r="G12" s="2"/>
      <c r="H12" s="71">
        <f>L51</f>
        <v>0</v>
      </c>
    </row>
    <row r="13" spans="1:19" ht="15.75" thickBot="1">
      <c r="A13" s="117" t="s">
        <v>8</v>
      </c>
      <c r="B13" s="118"/>
      <c r="C13" s="29">
        <f>M45</f>
        <v>14</v>
      </c>
      <c r="D13" s="6"/>
      <c r="E13" s="6"/>
      <c r="F13" s="6"/>
      <c r="G13" s="6"/>
      <c r="H13" s="73">
        <f>M51</f>
        <v>0</v>
      </c>
    </row>
    <row r="14" spans="1:19" ht="15.75" thickTop="1"/>
    <row r="15" spans="1:19" ht="15.75" thickBot="1">
      <c r="A15" s="119" t="s">
        <v>66</v>
      </c>
      <c r="B15" s="119"/>
      <c r="C15" s="119"/>
      <c r="D15" s="119"/>
      <c r="E15" s="119"/>
      <c r="S15" s="102"/>
    </row>
    <row r="16" spans="1:19" ht="15.75" thickTop="1">
      <c r="A16" s="109"/>
      <c r="B16" s="120"/>
      <c r="C16" s="26" t="s">
        <v>23</v>
      </c>
      <c r="D16" s="26" t="s">
        <v>24</v>
      </c>
      <c r="E16" s="27" t="s">
        <v>25</v>
      </c>
    </row>
    <row r="17" spans="1:19">
      <c r="A17" s="33" t="s">
        <v>26</v>
      </c>
      <c r="B17" s="91" t="s">
        <v>110</v>
      </c>
      <c r="C17" s="86">
        <f>VLOOKUP(B17,AircraftData,2,0)</f>
        <v>1581.2</v>
      </c>
      <c r="D17" s="92">
        <f>VLOOKUP(B17,AircraftData,3,0)</f>
        <v>84.6</v>
      </c>
      <c r="E17" s="34">
        <f>C17*D17</f>
        <v>133769.51999999999</v>
      </c>
      <c r="S17" s="102"/>
    </row>
    <row r="18" spans="1:19">
      <c r="A18" s="33" t="s">
        <v>104</v>
      </c>
      <c r="B18" s="37">
        <v>34</v>
      </c>
      <c r="C18" s="28">
        <f>B18*6</f>
        <v>204</v>
      </c>
      <c r="D18" s="28">
        <v>95</v>
      </c>
      <c r="E18" s="34">
        <f>C18*D18</f>
        <v>19380</v>
      </c>
    </row>
    <row r="19" spans="1:19">
      <c r="A19" s="111" t="s">
        <v>27</v>
      </c>
      <c r="B19" s="112"/>
      <c r="C19" s="32">
        <v>374</v>
      </c>
      <c r="D19" s="28">
        <v>85.5</v>
      </c>
      <c r="E19" s="34">
        <f>C19*D19</f>
        <v>31977</v>
      </c>
      <c r="S19" s="102"/>
    </row>
    <row r="20" spans="1:19">
      <c r="A20" s="111" t="s">
        <v>28</v>
      </c>
      <c r="B20" s="112"/>
      <c r="C20" s="32">
        <v>176</v>
      </c>
      <c r="D20" s="28">
        <v>118.1</v>
      </c>
      <c r="E20" s="34">
        <f>C20*D20</f>
        <v>20785.599999999999</v>
      </c>
    </row>
    <row r="21" spans="1:19">
      <c r="A21" s="123" t="s">
        <v>106</v>
      </c>
      <c r="B21" s="124"/>
      <c r="C21" s="95">
        <v>5</v>
      </c>
      <c r="D21" s="96">
        <v>142.80000000000001</v>
      </c>
      <c r="E21" s="97">
        <f>C21*D21</f>
        <v>714</v>
      </c>
      <c r="S21" s="102"/>
    </row>
    <row r="22" spans="1:19" ht="15.75" thickBot="1">
      <c r="A22" s="117" t="s">
        <v>105</v>
      </c>
      <c r="B22" s="118"/>
      <c r="C22" s="29"/>
      <c r="D22" s="29"/>
      <c r="E22" s="35">
        <v>819</v>
      </c>
      <c r="S22" s="102"/>
    </row>
    <row r="23" spans="1:19" ht="15.75" thickTop="1">
      <c r="A23" s="109" t="s">
        <v>107</v>
      </c>
      <c r="B23" s="120"/>
      <c r="C23" s="30">
        <f>SUM(C17:C22)</f>
        <v>2340.1999999999998</v>
      </c>
      <c r="D23" s="30">
        <f>(E23/C23)</f>
        <v>88.644184257755754</v>
      </c>
      <c r="E23" s="36">
        <f>SUM(E17:E22)</f>
        <v>207445.12</v>
      </c>
      <c r="S23" s="102"/>
    </row>
    <row r="24" spans="1:19">
      <c r="A24" s="143" t="s">
        <v>29</v>
      </c>
      <c r="B24" s="144"/>
      <c r="C24" s="31">
        <f>SUM(L5+L3)*6</f>
        <v>126</v>
      </c>
      <c r="D24" s="31">
        <v>95</v>
      </c>
      <c r="E24" s="44">
        <f>C24*D24</f>
        <v>11970</v>
      </c>
      <c r="S24" s="102"/>
    </row>
    <row r="25" spans="1:19">
      <c r="A25" s="111" t="s">
        <v>111</v>
      </c>
      <c r="B25" s="112"/>
      <c r="C25" s="28">
        <f>C23-C24</f>
        <v>2214.1999999999998</v>
      </c>
      <c r="D25" s="28">
        <f>E25/C25</f>
        <v>88.28250383885829</v>
      </c>
      <c r="E25" s="34">
        <f>E23-E24</f>
        <v>195475.12</v>
      </c>
    </row>
    <row r="26" spans="1:19" ht="15.75" thickBot="1">
      <c r="A26" s="117" t="s">
        <v>30</v>
      </c>
      <c r="B26" s="118"/>
      <c r="C26" s="29">
        <f>C23-C18</f>
        <v>2136.1999999999998</v>
      </c>
      <c r="D26" s="29">
        <f>E26/C26</f>
        <v>87.653833910682522</v>
      </c>
      <c r="E26" s="35">
        <f>SUM(E17,E19,E20,E21)</f>
        <v>187246.12</v>
      </c>
    </row>
    <row r="27" spans="1:19" ht="15.75" thickTop="1"/>
    <row r="28" spans="1:19" ht="15.75" thickBot="1">
      <c r="A28" s="119" t="s">
        <v>67</v>
      </c>
      <c r="B28" s="119"/>
      <c r="C28" s="119"/>
      <c r="D28" s="119"/>
      <c r="E28" s="119"/>
    </row>
    <row r="29" spans="1:19" ht="16.5" thickTop="1" thickBot="1">
      <c r="A29" s="130" t="s">
        <v>31</v>
      </c>
      <c r="B29" s="131"/>
      <c r="C29" s="131"/>
      <c r="D29" s="132"/>
      <c r="E29" s="50">
        <v>762</v>
      </c>
    </row>
    <row r="30" spans="1:19" ht="15.75" thickTop="1">
      <c r="A30" s="109" t="s">
        <v>43</v>
      </c>
      <c r="B30" s="110"/>
      <c r="C30" s="110"/>
      <c r="D30" s="11">
        <v>0.5</v>
      </c>
      <c r="E30" s="76"/>
    </row>
    <row r="31" spans="1:19">
      <c r="A31" s="111" t="s">
        <v>44</v>
      </c>
      <c r="B31" s="127"/>
      <c r="C31" s="127"/>
      <c r="D31" s="10">
        <v>0.1</v>
      </c>
      <c r="E31" s="77"/>
    </row>
    <row r="32" spans="1:19">
      <c r="A32" s="111" t="s">
        <v>35</v>
      </c>
      <c r="B32" s="127"/>
      <c r="C32" s="127"/>
      <c r="D32" s="8" t="s">
        <v>46</v>
      </c>
      <c r="E32" s="77"/>
    </row>
    <row r="33" spans="1:13">
      <c r="A33" s="111" t="s">
        <v>36</v>
      </c>
      <c r="B33" s="127"/>
      <c r="C33" s="127"/>
      <c r="D33" s="8" t="s">
        <v>47</v>
      </c>
      <c r="E33" s="77"/>
    </row>
    <row r="34" spans="1:13">
      <c r="A34" s="111" t="s">
        <v>37</v>
      </c>
      <c r="B34" s="127"/>
      <c r="C34" s="127"/>
      <c r="D34" s="8" t="s">
        <v>48</v>
      </c>
      <c r="E34" s="77"/>
      <c r="I34" s="60"/>
      <c r="K34" s="60"/>
      <c r="L34" s="60"/>
      <c r="M34" s="60"/>
    </row>
    <row r="35" spans="1:13" ht="15.75" thickBot="1">
      <c r="A35" s="117" t="s">
        <v>34</v>
      </c>
      <c r="B35" s="125"/>
      <c r="C35" s="125"/>
      <c r="D35" s="9" t="s">
        <v>45</v>
      </c>
      <c r="E35" s="78"/>
      <c r="I35" s="60"/>
      <c r="K35" s="60"/>
      <c r="L35" s="60"/>
      <c r="M35" s="60"/>
    </row>
    <row r="36" spans="1:13" ht="15.75" thickTop="1">
      <c r="A36" s="109" t="s">
        <v>38</v>
      </c>
      <c r="B36" s="110"/>
      <c r="C36" s="110"/>
      <c r="D36" s="129"/>
      <c r="E36" s="52">
        <f>SUM(E29:E35)</f>
        <v>762</v>
      </c>
      <c r="G36" s="61" t="s">
        <v>73</v>
      </c>
      <c r="H36" s="62" t="s">
        <v>74</v>
      </c>
      <c r="I36" s="63" t="s">
        <v>76</v>
      </c>
      <c r="K36" s="60"/>
      <c r="L36" s="60"/>
      <c r="M36" s="60"/>
    </row>
    <row r="37" spans="1:13">
      <c r="A37" s="111" t="s">
        <v>72</v>
      </c>
      <c r="B37" s="127"/>
      <c r="C37" s="127"/>
      <c r="D37" s="128"/>
      <c r="E37" s="53">
        <f>E36*1.25</f>
        <v>952.5</v>
      </c>
      <c r="G37" s="64" t="s">
        <v>75</v>
      </c>
      <c r="H37" s="65" t="s">
        <v>74</v>
      </c>
      <c r="I37" s="66" t="s">
        <v>77</v>
      </c>
    </row>
    <row r="38" spans="1:13" ht="15.75" thickBot="1">
      <c r="A38" s="117" t="s">
        <v>39</v>
      </c>
      <c r="B38" s="125"/>
      <c r="C38" s="125"/>
      <c r="D38" s="126"/>
      <c r="E38" s="51">
        <v>1799</v>
      </c>
      <c r="G38" s="67" t="s">
        <v>78</v>
      </c>
      <c r="H38" s="68" t="s">
        <v>74</v>
      </c>
      <c r="I38" s="69" t="s">
        <v>79</v>
      </c>
      <c r="J38" s="98"/>
      <c r="K38" s="21"/>
    </row>
    <row r="39" spans="1:13" ht="15.75" thickTop="1">
      <c r="G39" s="60"/>
      <c r="H39" s="60"/>
      <c r="I39" s="60"/>
      <c r="J39" s="98"/>
    </row>
    <row r="40" spans="1:13" ht="15.75" thickBot="1">
      <c r="A40" s="119" t="s">
        <v>64</v>
      </c>
      <c r="B40" s="119"/>
      <c r="C40" s="119"/>
      <c r="D40" s="119"/>
      <c r="E40" s="119"/>
      <c r="G40" s="98"/>
      <c r="H40" s="98"/>
      <c r="I40" s="98"/>
      <c r="J40" s="98"/>
      <c r="L40" s="100"/>
      <c r="M40" s="100"/>
    </row>
    <row r="41" spans="1:13" ht="16.5" thickTop="1" thickBot="1">
      <c r="A41" s="130" t="s">
        <v>32</v>
      </c>
      <c r="B41" s="131"/>
      <c r="C41" s="131"/>
      <c r="D41" s="132"/>
      <c r="E41" s="50">
        <v>411</v>
      </c>
      <c r="G41" s="105" t="s">
        <v>93</v>
      </c>
      <c r="H41" s="106"/>
      <c r="I41" s="145" t="s">
        <v>92</v>
      </c>
      <c r="J41" s="146"/>
      <c r="L41" s="107" t="s">
        <v>98</v>
      </c>
      <c r="M41" s="108"/>
    </row>
    <row r="42" spans="1:13" ht="15.75" thickTop="1">
      <c r="A42" s="133" t="s">
        <v>33</v>
      </c>
      <c r="B42" s="134"/>
      <c r="C42" s="134"/>
      <c r="D42" s="147">
        <v>0.2</v>
      </c>
      <c r="E42" s="76" t="s">
        <v>112</v>
      </c>
      <c r="F42" s="101"/>
      <c r="G42" s="22" t="s">
        <v>80</v>
      </c>
      <c r="H42" s="58" t="s">
        <v>90</v>
      </c>
      <c r="I42" s="22" t="s">
        <v>80</v>
      </c>
      <c r="J42" s="58" t="s">
        <v>91</v>
      </c>
      <c r="L42" s="22" t="s">
        <v>94</v>
      </c>
      <c r="M42" s="58" t="s">
        <v>95</v>
      </c>
    </row>
    <row r="43" spans="1:13">
      <c r="A43" s="141" t="s">
        <v>40</v>
      </c>
      <c r="B43" s="142"/>
      <c r="C43" s="142"/>
      <c r="D43" s="13">
        <v>0.3</v>
      </c>
      <c r="E43" s="99"/>
      <c r="G43" s="39" t="s">
        <v>81</v>
      </c>
      <c r="H43" s="58">
        <v>0.2</v>
      </c>
      <c r="I43" s="39" t="s">
        <v>81</v>
      </c>
      <c r="J43" s="58">
        <v>1</v>
      </c>
      <c r="L43" s="24">
        <v>110</v>
      </c>
      <c r="M43" s="57">
        <v>14</v>
      </c>
    </row>
    <row r="44" spans="1:13">
      <c r="A44" s="141" t="s">
        <v>41</v>
      </c>
      <c r="B44" s="142"/>
      <c r="C44" s="142"/>
      <c r="D44" s="13">
        <v>0.2</v>
      </c>
      <c r="E44" s="77"/>
      <c r="G44" s="39" t="s">
        <v>82</v>
      </c>
      <c r="H44" s="58">
        <v>0.4</v>
      </c>
      <c r="I44" s="39" t="s">
        <v>82</v>
      </c>
      <c r="J44" s="58">
        <v>0.9</v>
      </c>
      <c r="L44" s="22" t="s">
        <v>96</v>
      </c>
      <c r="M44" s="58" t="s">
        <v>97</v>
      </c>
    </row>
    <row r="45" spans="1:13">
      <c r="A45" s="141" t="s">
        <v>42</v>
      </c>
      <c r="B45" s="142"/>
      <c r="C45" s="142"/>
      <c r="D45" s="13">
        <v>0.5</v>
      </c>
      <c r="E45" s="77"/>
      <c r="G45" s="39" t="s">
        <v>83</v>
      </c>
      <c r="H45" s="58">
        <v>0.5</v>
      </c>
      <c r="I45" s="39" t="s">
        <v>83</v>
      </c>
      <c r="J45" s="58">
        <v>0.9</v>
      </c>
      <c r="L45" s="74">
        <f>SIN(RADIANS(ABS(L43-C11*10)))*M43</f>
        <v>0</v>
      </c>
      <c r="M45" s="71">
        <f>COS(RADIANS(ABS(L43-C11*10)))*M43</f>
        <v>14</v>
      </c>
    </row>
    <row r="46" spans="1:13" ht="15.75" thickBot="1">
      <c r="A46" s="135" t="s">
        <v>49</v>
      </c>
      <c r="B46" s="136"/>
      <c r="C46" s="136"/>
      <c r="D46" s="14" t="s">
        <v>45</v>
      </c>
      <c r="E46" s="78"/>
      <c r="G46" s="39" t="s">
        <v>84</v>
      </c>
      <c r="H46" s="58">
        <v>0.7</v>
      </c>
      <c r="I46" s="39" t="s">
        <v>84</v>
      </c>
      <c r="J46" s="58">
        <v>0.8</v>
      </c>
      <c r="L46" s="93"/>
      <c r="M46" s="94"/>
    </row>
    <row r="47" spans="1:13" ht="15.75" thickTop="1">
      <c r="A47" s="137" t="s">
        <v>62</v>
      </c>
      <c r="B47" s="138"/>
      <c r="C47" s="12" t="s">
        <v>50</v>
      </c>
      <c r="D47" s="12" t="s">
        <v>51</v>
      </c>
      <c r="E47" s="48"/>
      <c r="G47" s="39" t="s">
        <v>85</v>
      </c>
      <c r="H47" s="58">
        <v>0.8</v>
      </c>
      <c r="I47" s="39" t="s">
        <v>85</v>
      </c>
      <c r="J47" s="58">
        <v>0.7</v>
      </c>
      <c r="L47" s="103" t="s">
        <v>99</v>
      </c>
      <c r="M47" s="104"/>
    </row>
    <row r="48" spans="1:13">
      <c r="A48" s="113" t="s">
        <v>52</v>
      </c>
      <c r="B48" s="114"/>
      <c r="C48" s="15" t="s">
        <v>57</v>
      </c>
      <c r="D48" s="16">
        <v>0</v>
      </c>
      <c r="E48" s="49"/>
      <c r="G48" s="39" t="s">
        <v>86</v>
      </c>
      <c r="H48" s="58">
        <v>0.9</v>
      </c>
      <c r="I48" s="39" t="s">
        <v>86</v>
      </c>
      <c r="J48" s="58">
        <v>0.5</v>
      </c>
      <c r="L48" s="22" t="s">
        <v>94</v>
      </c>
      <c r="M48" s="58" t="s">
        <v>95</v>
      </c>
    </row>
    <row r="49" spans="1:13">
      <c r="A49" s="115" t="s">
        <v>53</v>
      </c>
      <c r="B49" s="116"/>
      <c r="C49" s="17" t="s">
        <v>58</v>
      </c>
      <c r="D49" s="18">
        <v>0.25</v>
      </c>
      <c r="E49" s="47"/>
      <c r="G49" s="39" t="s">
        <v>87</v>
      </c>
      <c r="H49" s="58">
        <v>0.9</v>
      </c>
      <c r="I49" s="39" t="s">
        <v>87</v>
      </c>
      <c r="J49" s="58">
        <v>0.4</v>
      </c>
      <c r="L49" s="24"/>
      <c r="M49" s="57"/>
    </row>
    <row r="50" spans="1:13">
      <c r="A50" s="115" t="s">
        <v>54</v>
      </c>
      <c r="B50" s="116"/>
      <c r="C50" s="17" t="s">
        <v>59</v>
      </c>
      <c r="D50" s="18">
        <v>0.25</v>
      </c>
      <c r="E50" s="45"/>
      <c r="G50" s="39" t="s">
        <v>88</v>
      </c>
      <c r="H50" s="58">
        <v>0.9</v>
      </c>
      <c r="I50" s="39" t="s">
        <v>88</v>
      </c>
      <c r="J50" s="58">
        <v>0.2</v>
      </c>
      <c r="L50" s="22" t="s">
        <v>96</v>
      </c>
      <c r="M50" s="58" t="s">
        <v>97</v>
      </c>
    </row>
    <row r="51" spans="1:13" ht="15.75" thickBot="1">
      <c r="A51" s="115" t="s">
        <v>55</v>
      </c>
      <c r="B51" s="116"/>
      <c r="C51" s="17" t="s">
        <v>60</v>
      </c>
      <c r="D51" s="18">
        <v>0.5</v>
      </c>
      <c r="E51" s="45"/>
      <c r="G51" s="40" t="s">
        <v>89</v>
      </c>
      <c r="H51" s="70">
        <v>1</v>
      </c>
      <c r="I51" s="40" t="s">
        <v>89</v>
      </c>
      <c r="J51" s="70">
        <v>0</v>
      </c>
      <c r="L51" s="72">
        <f>SIN(RADIANS(ABS(L49-H11*10)))*M49</f>
        <v>0</v>
      </c>
      <c r="M51" s="73">
        <f>COS(RADIANS(ABS(L49-H11*10)))*M49</f>
        <v>0</v>
      </c>
    </row>
    <row r="52" spans="1:13" ht="16.5" thickTop="1" thickBot="1">
      <c r="A52" s="139" t="s">
        <v>56</v>
      </c>
      <c r="B52" s="140"/>
      <c r="C52" s="19" t="s">
        <v>61</v>
      </c>
      <c r="D52" s="20">
        <v>0.5</v>
      </c>
      <c r="E52" s="46"/>
      <c r="G52" s="88"/>
    </row>
    <row r="53" spans="1:13" ht="15.75" thickTop="1">
      <c r="A53" s="109" t="s">
        <v>69</v>
      </c>
      <c r="B53" s="110"/>
      <c r="C53" s="110"/>
      <c r="D53" s="129"/>
      <c r="E53" s="54">
        <f>SUM(E41:E52)</f>
        <v>411</v>
      </c>
    </row>
    <row r="54" spans="1:13">
      <c r="A54" s="111" t="s">
        <v>70</v>
      </c>
      <c r="B54" s="127"/>
      <c r="C54" s="127"/>
      <c r="D54" s="128"/>
      <c r="E54" s="53">
        <f>E53*1.43</f>
        <v>587.73</v>
      </c>
    </row>
    <row r="55" spans="1:13" ht="15.75" thickBot="1">
      <c r="A55" s="117" t="s">
        <v>71</v>
      </c>
      <c r="B55" s="125"/>
      <c r="C55" s="125"/>
      <c r="D55" s="126"/>
      <c r="E55" s="51">
        <v>1740</v>
      </c>
    </row>
    <row r="56" spans="1:13" ht="15.75" thickTop="1">
      <c r="F56" s="88"/>
    </row>
    <row r="57" spans="1:13">
      <c r="A57" s="60"/>
      <c r="B57" s="60"/>
      <c r="C57" s="60"/>
    </row>
    <row r="58" spans="1:13">
      <c r="A58" s="60"/>
      <c r="B58" s="89"/>
      <c r="C58" s="89"/>
    </row>
    <row r="59" spans="1:13">
      <c r="A59" s="60"/>
      <c r="B59" s="89"/>
      <c r="C59" s="89"/>
    </row>
    <row r="60" spans="1:13">
      <c r="A60" s="60"/>
      <c r="B60" s="89"/>
      <c r="C60" s="89"/>
    </row>
    <row r="61" spans="1:13">
      <c r="A61" s="60"/>
      <c r="B61" s="89"/>
      <c r="C61" s="89"/>
    </row>
    <row r="62" spans="1:13">
      <c r="A62" s="60"/>
      <c r="B62" s="89"/>
      <c r="C62" s="89"/>
    </row>
  </sheetData>
  <mergeCells count="55">
    <mergeCell ref="A24:B24"/>
    <mergeCell ref="I41:J41"/>
    <mergeCell ref="A6:B6"/>
    <mergeCell ref="A7:B7"/>
    <mergeCell ref="A12:B12"/>
    <mergeCell ref="A16:B16"/>
    <mergeCell ref="A28:E28"/>
    <mergeCell ref="A22:B22"/>
    <mergeCell ref="A29:D29"/>
    <mergeCell ref="A31:C31"/>
    <mergeCell ref="A32:C32"/>
    <mergeCell ref="A33:C33"/>
    <mergeCell ref="A34:C34"/>
    <mergeCell ref="A36:D36"/>
    <mergeCell ref="A35:C35"/>
    <mergeCell ref="A55:D55"/>
    <mergeCell ref="A54:D54"/>
    <mergeCell ref="A53:D53"/>
    <mergeCell ref="A40:E40"/>
    <mergeCell ref="A37:D37"/>
    <mergeCell ref="A38:D38"/>
    <mergeCell ref="A41:D41"/>
    <mergeCell ref="A42:C42"/>
    <mergeCell ref="A46:C46"/>
    <mergeCell ref="A47:B47"/>
    <mergeCell ref="A52:B52"/>
    <mergeCell ref="A43:C43"/>
    <mergeCell ref="A44:C44"/>
    <mergeCell ref="A45:C45"/>
    <mergeCell ref="A51:B51"/>
    <mergeCell ref="A1:H1"/>
    <mergeCell ref="J1:L1"/>
    <mergeCell ref="A15:E15"/>
    <mergeCell ref="A23:B23"/>
    <mergeCell ref="A13:B13"/>
    <mergeCell ref="A3:B3"/>
    <mergeCell ref="A4:B4"/>
    <mergeCell ref="A5:B5"/>
    <mergeCell ref="A8:B8"/>
    <mergeCell ref="A9:B9"/>
    <mergeCell ref="A2:B2"/>
    <mergeCell ref="A19:B19"/>
    <mergeCell ref="A20:B20"/>
    <mergeCell ref="A21:B21"/>
    <mergeCell ref="A10:B10"/>
    <mergeCell ref="A11:B11"/>
    <mergeCell ref="L47:M47"/>
    <mergeCell ref="G41:H41"/>
    <mergeCell ref="L41:M41"/>
    <mergeCell ref="A30:C30"/>
    <mergeCell ref="A25:B25"/>
    <mergeCell ref="A48:B48"/>
    <mergeCell ref="A49:B49"/>
    <mergeCell ref="A50:B50"/>
    <mergeCell ref="A26:B26"/>
  </mergeCells>
  <conditionalFormatting sqref="E38">
    <cfRule type="iconSet" priority="5">
      <iconSet iconSet="3TrafficLights2">
        <cfvo type="percent" val="0"/>
        <cfvo type="percent" val="5" gte="0"/>
        <cfvo type="num" val="$E$37" gte="0"/>
      </iconSet>
    </cfRule>
  </conditionalFormatting>
  <conditionalFormatting sqref="E55">
    <cfRule type="iconSet" priority="4">
      <iconSet iconSet="3TrafficLights2">
        <cfvo type="percent" val="0"/>
        <cfvo type="percent" val="5" gte="0"/>
        <cfvo type="num" val="$E$54"/>
      </iconSet>
    </cfRule>
  </conditionalFormatting>
  <conditionalFormatting sqref="C23">
    <cfRule type="cellIs" dxfId="0" priority="1" operator="greaterThan">
      <formula>2500</formula>
    </cfRule>
  </conditionalFormatting>
  <dataValidations count="2">
    <dataValidation type="list" allowBlank="1" showInputMessage="1" showErrorMessage="1" promptTitle="Chose an aircraft" sqref="B17">
      <formula1>Aircraft</formula1>
    </dataValidation>
    <dataValidation type="list" allowBlank="1" showInputMessage="1" showErrorMessage="1" sqref="B18">
      <formula1>Fuel</formula1>
    </dataValidation>
  </dataValidations>
  <pageMargins left="0.7" right="0.7" top="0.75" bottom="0.75" header="0.3" footer="0.3"/>
  <pageSetup paperSize="9" scale="61" orientation="portrait" horizontalDpi="0" verticalDpi="0" r:id="rId1"/>
  <ignoredErrors>
    <ignoredError sqref="D23 D25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O108"/>
  <sheetViews>
    <sheetView workbookViewId="0">
      <selection activeCell="K61" sqref="K61"/>
    </sheetView>
  </sheetViews>
  <sheetFormatPr defaultRowHeight="15"/>
  <sheetData>
    <row r="1" spans="1:1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</row>
    <row r="7" spans="1:15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</row>
    <row r="8" spans="1:15">
      <c r="A8" s="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</row>
    <row r="9" spans="1:15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</row>
    <row r="10" spans="1:15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</row>
    <row r="11" spans="1:15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1:15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1:15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15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</row>
    <row r="15" spans="1:15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1:15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</row>
    <row r="17" spans="1:15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</row>
    <row r="18" spans="1:15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1:15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1:15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1:15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1:15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1:15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spans="1:15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1:15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1:15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1:15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</row>
    <row r="28" spans="1:15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1:15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</row>
    <row r="30" spans="1:15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1:15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1:15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1:15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1:15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1:15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1:15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1:15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1:15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1:15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1:15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1:15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1:15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1:15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1:15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1:15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1:15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1:15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1:15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1:15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1:15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1:15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1:15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1:15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1:15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1:15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1:15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1:15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1:15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1:15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1:15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1:15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1:15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1:15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1:15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1:15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1:15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1:15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1:15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1:15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1:15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1:15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1:15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1:15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1:15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1:15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1:15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1:15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1:15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1:15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1:15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1:15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1:15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1:15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1:15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1:15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1:15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1:15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1:15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1:15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1:15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1:15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1:15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1:15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1:15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1:15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1:15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1:15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1:15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1:15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1:15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1:15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1:15">
      <c r="A102" s="60"/>
      <c r="B102" s="60"/>
      <c r="C102" s="60"/>
    </row>
    <row r="103" spans="1:15">
      <c r="A103" s="60"/>
      <c r="B103" s="89"/>
      <c r="C103" s="89"/>
    </row>
    <row r="104" spans="1:15">
      <c r="A104" s="60"/>
      <c r="B104" s="89"/>
      <c r="C104" s="89"/>
    </row>
    <row r="105" spans="1:15">
      <c r="A105" s="60"/>
      <c r="B105" s="89"/>
      <c r="C105" s="89"/>
    </row>
    <row r="106" spans="1:15">
      <c r="A106" s="60"/>
      <c r="B106" s="89"/>
      <c r="C106" s="89"/>
    </row>
    <row r="107" spans="1:15">
      <c r="A107" s="60"/>
      <c r="B107" s="89"/>
      <c r="C107" s="89"/>
    </row>
    <row r="108" spans="1:15">
      <c r="A108" s="60"/>
      <c r="B108" s="89"/>
      <c r="C108" s="89"/>
    </row>
  </sheetData>
  <pageMargins left="0.7" right="0.7" top="0.75" bottom="0.75" header="0.3" footer="0.3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C9"/>
  <sheetViews>
    <sheetView workbookViewId="0">
      <selection activeCell="E36" sqref="E36"/>
    </sheetView>
  </sheetViews>
  <sheetFormatPr defaultRowHeight="15"/>
  <sheetData>
    <row r="1" spans="1:3" ht="15.75" thickBot="1"/>
    <row r="2" spans="1:3" ht="15.75" thickTop="1">
      <c r="A2" s="81" t="s">
        <v>102</v>
      </c>
      <c r="B2" s="84" t="s">
        <v>101</v>
      </c>
      <c r="C2" s="82" t="s">
        <v>100</v>
      </c>
    </row>
    <row r="3" spans="1:3">
      <c r="A3" s="22" t="s">
        <v>109</v>
      </c>
      <c r="B3" s="86">
        <v>1642.58</v>
      </c>
      <c r="C3" s="38">
        <v>85.73</v>
      </c>
    </row>
    <row r="4" spans="1:3" ht="15.75" thickBot="1">
      <c r="A4" s="85" t="s">
        <v>110</v>
      </c>
      <c r="B4" s="87">
        <v>1581.2</v>
      </c>
      <c r="C4" s="42">
        <v>84.6</v>
      </c>
    </row>
    <row r="5" spans="1:3" ht="16.5" thickTop="1" thickBot="1"/>
    <row r="6" spans="1:3" ht="15.75" thickTop="1">
      <c r="A6" s="81" t="s">
        <v>103</v>
      </c>
      <c r="B6" s="82" t="s">
        <v>101</v>
      </c>
    </row>
    <row r="7" spans="1:3">
      <c r="A7" s="22">
        <v>34</v>
      </c>
      <c r="B7" s="58">
        <f>A7*6</f>
        <v>204</v>
      </c>
    </row>
    <row r="8" spans="1:3" ht="15.75" thickBot="1">
      <c r="A8" s="85">
        <v>48</v>
      </c>
      <c r="B8" s="70">
        <f>A8*6</f>
        <v>288</v>
      </c>
    </row>
    <row r="9" spans="1:3" ht="15.75" thickTop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5</vt:i4>
      </vt:variant>
    </vt:vector>
  </HeadingPairs>
  <TitlesOfParts>
    <vt:vector size="8" baseType="lpstr">
      <vt:lpstr>Weight &amp; Ballance</vt:lpstr>
      <vt:lpstr>Performance Charts</vt:lpstr>
      <vt:lpstr>Data</vt:lpstr>
      <vt:lpstr>Aircraft</vt:lpstr>
      <vt:lpstr>AircraftData</vt:lpstr>
      <vt:lpstr>Fuel</vt:lpstr>
      <vt:lpstr>FuelData</vt:lpstr>
      <vt:lpstr>'Weight &amp; Ballance'!Udskriftsområde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Vatslav Roudnitski</dc:creator>
  <cp:lastModifiedBy>Vatslav Roudnitski</cp:lastModifiedBy>
  <cp:lastPrinted>2012-09-25T08:23:03Z</cp:lastPrinted>
  <dcterms:created xsi:type="dcterms:W3CDTF">2011-02-11T20:25:39Z</dcterms:created>
  <dcterms:modified xsi:type="dcterms:W3CDTF">2012-10-01T12:29:45Z</dcterms:modified>
</cp:coreProperties>
</file>